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04\Wahlen\Kommunalwahl 2020\"/>
    </mc:Choice>
  </mc:AlternateContent>
  <bookViews>
    <workbookView xWindow="0" yWindow="0" windowWidth="28800" windowHeight="12300"/>
  </bookViews>
  <sheets>
    <sheet name="Vergleich Rats-Wahl" sheetId="2" r:id="rId1"/>
    <sheet name="Vergleich BM-Wahl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8" i="1"/>
  <c r="G18" i="2"/>
  <c r="J18" i="1"/>
  <c r="P18" i="2"/>
  <c r="J18" i="2"/>
  <c r="D18" i="1"/>
  <c r="J5" i="1" l="1"/>
  <c r="J6" i="1"/>
  <c r="J7" i="1"/>
  <c r="J8" i="1"/>
  <c r="J9" i="1"/>
  <c r="J10" i="1"/>
  <c r="J11" i="1"/>
  <c r="J13" i="1"/>
  <c r="J14" i="1"/>
  <c r="J15" i="1"/>
  <c r="J16" i="1"/>
  <c r="J17" i="1"/>
  <c r="G19" i="1"/>
  <c r="J19" i="1"/>
  <c r="G19" i="2"/>
  <c r="J17" i="2"/>
  <c r="J19" i="2"/>
  <c r="J6" i="2"/>
  <c r="G16" i="1"/>
  <c r="G12" i="1"/>
  <c r="G5" i="1"/>
  <c r="G6" i="1"/>
  <c r="G7" i="1"/>
  <c r="G8" i="1"/>
  <c r="G9" i="1"/>
  <c r="G10" i="1"/>
  <c r="G11" i="1"/>
  <c r="G13" i="1"/>
  <c r="G14" i="1"/>
  <c r="G15" i="1"/>
  <c r="G17" i="1"/>
  <c r="D6" i="1"/>
  <c r="D7" i="1"/>
  <c r="D8" i="1"/>
  <c r="D9" i="1"/>
  <c r="D10" i="1"/>
  <c r="D11" i="1"/>
  <c r="D12" i="1"/>
  <c r="D13" i="1"/>
  <c r="D14" i="1"/>
  <c r="D15" i="1"/>
  <c r="D16" i="1"/>
  <c r="D17" i="1"/>
  <c r="D5" i="1"/>
  <c r="F7" i="1"/>
  <c r="F5" i="1"/>
  <c r="I15" i="1"/>
  <c r="I11" i="1"/>
  <c r="I6" i="1"/>
  <c r="I5" i="1"/>
  <c r="F18" i="1"/>
  <c r="I18" i="1" s="1"/>
  <c r="F17" i="1"/>
  <c r="I17" i="1" s="1"/>
  <c r="F16" i="1"/>
  <c r="I16" i="1" s="1"/>
  <c r="F15" i="1"/>
  <c r="F14" i="1"/>
  <c r="I14" i="1" s="1"/>
  <c r="F13" i="1"/>
  <c r="I13" i="1" s="1"/>
  <c r="F12" i="1"/>
  <c r="I12" i="1" s="1"/>
  <c r="F11" i="1"/>
  <c r="F10" i="1"/>
  <c r="I10" i="1" s="1"/>
  <c r="F9" i="1"/>
  <c r="I9" i="1" s="1"/>
  <c r="F8" i="1"/>
  <c r="I8" i="1" s="1"/>
  <c r="F6" i="1"/>
  <c r="V18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5" i="2"/>
  <c r="S18" i="2"/>
  <c r="M18" i="2"/>
  <c r="Y18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O16" i="2"/>
  <c r="P19" i="2"/>
  <c r="S19" i="2"/>
  <c r="V19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9" i="2"/>
  <c r="M19" i="2"/>
  <c r="J5" i="2"/>
  <c r="J7" i="2"/>
  <c r="J8" i="2"/>
  <c r="J9" i="2"/>
  <c r="J10" i="2"/>
  <c r="J11" i="2"/>
  <c r="J12" i="2"/>
  <c r="J13" i="2"/>
  <c r="J14" i="2"/>
  <c r="J15" i="2"/>
  <c r="J16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Q19" i="2"/>
  <c r="Q10" i="2"/>
  <c r="Q17" i="2"/>
  <c r="Q16" i="2"/>
  <c r="Q15" i="2"/>
  <c r="Q14" i="2"/>
  <c r="Q13" i="2"/>
  <c r="Q12" i="2"/>
  <c r="Q11" i="2"/>
  <c r="Q9" i="2"/>
  <c r="Q8" i="2"/>
  <c r="Q7" i="2"/>
  <c r="Q6" i="2"/>
  <c r="Q5" i="2"/>
  <c r="Q18" i="2"/>
  <c r="O17" i="2"/>
  <c r="O15" i="2"/>
  <c r="O14" i="2"/>
  <c r="O13" i="2"/>
  <c r="O12" i="2"/>
  <c r="O11" i="2"/>
  <c r="O10" i="2"/>
  <c r="O9" i="2"/>
  <c r="O8" i="2"/>
  <c r="O7" i="2"/>
  <c r="O6" i="2"/>
  <c r="O5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L17" i="2"/>
  <c r="L16" i="2"/>
  <c r="L15" i="2"/>
  <c r="L14" i="2"/>
  <c r="L13" i="2"/>
  <c r="L10" i="2"/>
  <c r="L12" i="2"/>
  <c r="L11" i="2"/>
  <c r="L9" i="2"/>
  <c r="L8" i="2"/>
  <c r="L7" i="2"/>
  <c r="L6" i="2"/>
  <c r="L5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I18" i="2"/>
  <c r="O18" i="2" s="1"/>
  <c r="O19" i="2" s="1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H16" i="2"/>
  <c r="H18" i="2"/>
  <c r="H17" i="2"/>
  <c r="H15" i="2"/>
  <c r="H14" i="2"/>
  <c r="H13" i="2"/>
  <c r="H12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s="1"/>
  <c r="F19" i="1" l="1"/>
  <c r="I7" i="1"/>
  <c r="R18" i="2"/>
  <c r="R19" i="2" s="1"/>
  <c r="U18" i="2"/>
  <c r="U19" i="2" s="1"/>
  <c r="L18" i="2"/>
  <c r="L19" i="2" s="1"/>
  <c r="X18" i="2"/>
  <c r="X19" i="2" s="1"/>
  <c r="E17" i="2"/>
  <c r="E18" i="2"/>
  <c r="E16" i="2"/>
  <c r="E15" i="2"/>
  <c r="E14" i="2"/>
  <c r="E13" i="2"/>
  <c r="E12" i="2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E5" i="2"/>
  <c r="H5" i="2" s="1"/>
  <c r="C19" i="2"/>
  <c r="H19" i="2" l="1"/>
  <c r="I19" i="2"/>
  <c r="E19" i="2"/>
  <c r="B19" i="2"/>
  <c r="H16" i="1"/>
  <c r="H15" i="1"/>
  <c r="H8" i="1"/>
  <c r="I19" i="1"/>
  <c r="B19" i="1"/>
  <c r="C19" i="1"/>
  <c r="D19" i="1" s="1"/>
  <c r="E18" i="1"/>
  <c r="H18" i="1" s="1"/>
  <c r="E17" i="1"/>
  <c r="H17" i="1" s="1"/>
  <c r="E16" i="1"/>
  <c r="E15" i="1"/>
  <c r="E14" i="1"/>
  <c r="H14" i="1" s="1"/>
  <c r="E13" i="1"/>
  <c r="H13" i="1" s="1"/>
  <c r="E8" i="1"/>
  <c r="E9" i="1"/>
  <c r="H9" i="1" s="1"/>
  <c r="E10" i="1"/>
  <c r="H10" i="1" s="1"/>
  <c r="E7" i="1"/>
  <c r="E6" i="1"/>
  <c r="H6" i="1" s="1"/>
  <c r="E12" i="1"/>
  <c r="H12" i="1" s="1"/>
  <c r="E11" i="1"/>
  <c r="H11" i="1" s="1"/>
  <c r="E5" i="1"/>
  <c r="H5" i="1" s="1"/>
  <c r="H7" i="1" l="1"/>
  <c r="H19" i="1"/>
  <c r="E19" i="1"/>
</calcChain>
</file>

<file path=xl/sharedStrings.xml><?xml version="1.0" encoding="utf-8"?>
<sst xmlns="http://schemas.openxmlformats.org/spreadsheetml/2006/main" count="54" uniqueCount="27">
  <si>
    <t>Bad Westernkotten</t>
  </si>
  <si>
    <t>Berenbrock</t>
  </si>
  <si>
    <t>Ebbinghausen</t>
  </si>
  <si>
    <t>Böckum</t>
  </si>
  <si>
    <t>Eikeloh</t>
  </si>
  <si>
    <t>Erwitte</t>
  </si>
  <si>
    <t>Horn-Millinghausen</t>
  </si>
  <si>
    <t>Merklinghausen-Wiggeringhausen</t>
  </si>
  <si>
    <t>Norddorf</t>
  </si>
  <si>
    <t>Schallern</t>
  </si>
  <si>
    <t>Schmerlecke</t>
  </si>
  <si>
    <t>Stirpe</t>
  </si>
  <si>
    <t>Völlinghausen</t>
  </si>
  <si>
    <t>Weckinghausen</t>
  </si>
  <si>
    <t>Gesamt</t>
  </si>
  <si>
    <t xml:space="preserve">Ergebnisvergleich der Bürgermeisterwahl </t>
  </si>
  <si>
    <t>Wahlberechtigte</t>
  </si>
  <si>
    <t>Wähler</t>
  </si>
  <si>
    <t>gültige Stimmen</t>
  </si>
  <si>
    <t>CDU</t>
  </si>
  <si>
    <t>SPD</t>
  </si>
  <si>
    <t>FDP</t>
  </si>
  <si>
    <t>BG</t>
  </si>
  <si>
    <t>Grüne</t>
  </si>
  <si>
    <t>Veränderung in Prozent</t>
  </si>
  <si>
    <t>Veränderung in Zahlen</t>
  </si>
  <si>
    <t xml:space="preserve">Ergebnisvergleich der Stadtratswahl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</si>
</sst>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1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10" fontId="0" fillId="0" borderId="1" xfId="1" applyNumberFormat="1" applyFont="1" applyBorder="1" applyAlignment="1">
      <alignment horizontal="center" vertical="center"/>
    </xf>
    <xf numFmtId="10" fontId="0" fillId="0" borderId="0" xfId="0" applyNumberFormat="1"/>
    <xf numFmtId="9" fontId="0" fillId="0" borderId="3" xfId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Prozent" xfId="1" builtinId="5"/>
    <cellStyle name="Standard" xfId="0" builtinId="0"/>
  </cellStyles>
  <dxfs count="12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zoomScale="80" zoomScaleNormal="80" workbookViewId="0">
      <selection activeCell="F23" sqref="F23"/>
    </sheetView>
  </sheetViews>
  <sheetFormatPr baseColWidth="10" defaultRowHeight="15" x14ac:dyDescent="0.25"/>
  <cols>
    <col min="1" max="1" width="19.7109375" customWidth="1"/>
    <col min="4" max="4" width="13.7109375" bestFit="1" customWidth="1"/>
    <col min="5" max="5" width="14" customWidth="1"/>
    <col min="6" max="6" width="12.85546875" customWidth="1"/>
    <col min="7" max="7" width="13.7109375" bestFit="1" customWidth="1"/>
    <col min="8" max="8" width="14.85546875" bestFit="1" customWidth="1"/>
    <col min="9" max="9" width="14.85546875" customWidth="1"/>
    <col min="10" max="10" width="13.7109375" bestFit="1" customWidth="1"/>
    <col min="13" max="13" width="13.7109375" bestFit="1" customWidth="1"/>
    <col min="16" max="16" width="13.7109375" bestFit="1" customWidth="1"/>
    <col min="19" max="19" width="13.7109375" bestFit="1" customWidth="1"/>
    <col min="22" max="22" width="13.7109375" bestFit="1" customWidth="1"/>
    <col min="23" max="23" width="11.140625" customWidth="1"/>
    <col min="24" max="24" width="10.7109375" customWidth="1"/>
    <col min="25" max="25" width="13.7109375" bestFit="1" customWidth="1"/>
  </cols>
  <sheetData>
    <row r="1" spans="1:25" ht="26.25" x14ac:dyDescent="0.4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3" spans="1:25" ht="30" x14ac:dyDescent="0.25">
      <c r="A3" s="1"/>
      <c r="B3" s="29" t="s">
        <v>16</v>
      </c>
      <c r="C3" s="29"/>
      <c r="D3" s="12" t="s">
        <v>25</v>
      </c>
      <c r="E3" s="29" t="s">
        <v>17</v>
      </c>
      <c r="F3" s="29"/>
      <c r="G3" s="12" t="s">
        <v>24</v>
      </c>
      <c r="H3" s="29" t="s">
        <v>18</v>
      </c>
      <c r="I3" s="29"/>
      <c r="J3" s="12" t="s">
        <v>24</v>
      </c>
      <c r="K3" s="29" t="s">
        <v>19</v>
      </c>
      <c r="L3" s="29"/>
      <c r="M3" s="12" t="s">
        <v>24</v>
      </c>
      <c r="N3" s="29" t="s">
        <v>20</v>
      </c>
      <c r="O3" s="29"/>
      <c r="P3" s="12" t="s">
        <v>24</v>
      </c>
      <c r="Q3" s="29" t="s">
        <v>21</v>
      </c>
      <c r="R3" s="29"/>
      <c r="S3" s="12" t="s">
        <v>24</v>
      </c>
      <c r="T3" s="29" t="s">
        <v>22</v>
      </c>
      <c r="U3" s="29"/>
      <c r="V3" s="12" t="s">
        <v>24</v>
      </c>
      <c r="W3" s="29" t="s">
        <v>23</v>
      </c>
      <c r="X3" s="29"/>
      <c r="Y3" s="12" t="s">
        <v>24</v>
      </c>
    </row>
    <row r="4" spans="1:25" x14ac:dyDescent="0.25">
      <c r="B4" s="13">
        <v>2014</v>
      </c>
      <c r="C4" s="13">
        <v>2020</v>
      </c>
      <c r="D4" s="17"/>
      <c r="E4" s="13">
        <v>2014</v>
      </c>
      <c r="F4" s="13">
        <v>2020</v>
      </c>
      <c r="G4" s="15"/>
      <c r="H4" s="14">
        <v>2014</v>
      </c>
      <c r="I4" s="13">
        <v>2020</v>
      </c>
      <c r="J4" s="15"/>
      <c r="K4" s="16">
        <v>2014</v>
      </c>
      <c r="L4" s="16">
        <v>2020</v>
      </c>
      <c r="M4" s="15"/>
      <c r="N4" s="16">
        <v>2014</v>
      </c>
      <c r="O4" s="16">
        <v>2020</v>
      </c>
      <c r="P4" s="15"/>
      <c r="Q4" s="16">
        <v>2014</v>
      </c>
      <c r="R4" s="16">
        <v>2020</v>
      </c>
      <c r="S4" s="15"/>
      <c r="T4" s="16">
        <v>2014</v>
      </c>
      <c r="U4" s="16">
        <v>2020</v>
      </c>
      <c r="V4" s="14"/>
      <c r="W4" s="16">
        <v>2014</v>
      </c>
      <c r="X4" s="16">
        <v>2020</v>
      </c>
      <c r="Y4" s="11"/>
    </row>
    <row r="5" spans="1:25" x14ac:dyDescent="0.25">
      <c r="A5" s="26" t="s">
        <v>0</v>
      </c>
      <c r="B5" s="2">
        <v>3574</v>
      </c>
      <c r="C5" s="2">
        <v>3727</v>
      </c>
      <c r="D5" s="18">
        <f>C5-B5</f>
        <v>153</v>
      </c>
      <c r="E5" s="4">
        <f>B5*0.5395</f>
        <v>1928.173</v>
      </c>
      <c r="F5" s="4">
        <f>C5*0.5833</f>
        <v>2173.9591</v>
      </c>
      <c r="G5" s="11">
        <f t="shared" ref="G5:G17" si="0">F5/C5-E5/B5</f>
        <v>4.3800000000000061E-2</v>
      </c>
      <c r="H5" s="4">
        <f>E5*0.9907</f>
        <v>1910.2409911</v>
      </c>
      <c r="I5" s="4">
        <f>F5*0.9871</f>
        <v>2145.9150276099999</v>
      </c>
      <c r="J5" s="11">
        <f t="shared" ref="J5:J16" si="1">(I5/F5)-(H5/E5)</f>
        <v>-3.6000000000000476E-3</v>
      </c>
      <c r="K5" s="7">
        <f>H5*0.3524</f>
        <v>673.16892526363995</v>
      </c>
      <c r="L5" s="7">
        <f>I5*0.4021</f>
        <v>862.87243260198102</v>
      </c>
      <c r="M5" s="11">
        <f t="shared" ref="M5:M17" si="2">(L5/I5)-(K5/H5)</f>
        <v>4.9700000000000022E-2</v>
      </c>
      <c r="N5" s="7">
        <f>H5*0.5293</f>
        <v>1011.09055658923</v>
      </c>
      <c r="O5" s="7">
        <f>I5*0.3145</f>
        <v>674.89027618334501</v>
      </c>
      <c r="P5" s="11">
        <f t="shared" ref="P5:P17" si="3">(O5/I5)-(N5/H5)</f>
        <v>-0.21479999999999999</v>
      </c>
      <c r="Q5" s="7">
        <f>H5*0.0654</f>
        <v>124.92976081793999</v>
      </c>
      <c r="R5" s="7">
        <f>I5*0.1389</f>
        <v>298.06759733502901</v>
      </c>
      <c r="S5" s="11">
        <f t="shared" ref="S5:S17" si="4">(R5/I5)-(Q5/H5)</f>
        <v>7.3499999999999996E-2</v>
      </c>
      <c r="T5" s="7">
        <f>H5*0.0529</f>
        <v>101.05174842919</v>
      </c>
      <c r="U5" s="7">
        <f>I5*0.0419</f>
        <v>89.913839656858997</v>
      </c>
      <c r="V5" s="11">
        <f t="shared" ref="V5:V17" si="5">(U5/I5)-(T5/H5)</f>
        <v>-1.1000000000000003E-2</v>
      </c>
      <c r="W5" s="7">
        <v>0</v>
      </c>
      <c r="X5" s="7">
        <f>I5*0.1025</f>
        <v>219.95629033002498</v>
      </c>
      <c r="Y5" s="11">
        <f t="shared" ref="Y5:Y17" si="6">X5/I5</f>
        <v>0.10249999999999999</v>
      </c>
    </row>
    <row r="6" spans="1:25" x14ac:dyDescent="0.25">
      <c r="A6" s="26" t="s">
        <v>1</v>
      </c>
      <c r="B6" s="2">
        <v>222</v>
      </c>
      <c r="C6" s="2">
        <v>236</v>
      </c>
      <c r="D6" s="18">
        <f t="shared" ref="D6:D19" si="7">C6-B6</f>
        <v>14</v>
      </c>
      <c r="E6" s="4">
        <f>B6*0.6306</f>
        <v>139.9932</v>
      </c>
      <c r="F6" s="4">
        <f>C6*0.6398</f>
        <v>150.99280000000002</v>
      </c>
      <c r="G6" s="11">
        <f t="shared" si="0"/>
        <v>9.199999999999986E-3</v>
      </c>
      <c r="H6" s="4">
        <f>E6*0.9929</f>
        <v>138.99924827999999</v>
      </c>
      <c r="I6" s="4">
        <f>F6*0.9934</f>
        <v>149.99624752</v>
      </c>
      <c r="J6" s="11">
        <f>(I6/F6)-(H6/E6)</f>
        <v>4.9999999999994493E-4</v>
      </c>
      <c r="K6" s="7">
        <f>H6*0.8058</f>
        <v>112.00559426402398</v>
      </c>
      <c r="L6" s="7">
        <f>I6*0.7133</f>
        <v>106.992323356016</v>
      </c>
      <c r="M6" s="11">
        <f t="shared" si="2"/>
        <v>-9.2499999999999916E-2</v>
      </c>
      <c r="N6" s="7">
        <f>H6*0.0791</f>
        <v>10.994840538947999</v>
      </c>
      <c r="O6" s="7">
        <f>I6*0.0133</f>
        <v>1.9949500920159999</v>
      </c>
      <c r="P6" s="11">
        <f t="shared" si="3"/>
        <v>-6.5799999999999997E-2</v>
      </c>
      <c r="Q6" s="7">
        <f>H6*0.1007</f>
        <v>13.997224301795999</v>
      </c>
      <c r="R6" s="7">
        <f>I6*0.1333</f>
        <v>19.994499794416001</v>
      </c>
      <c r="S6" s="11">
        <f t="shared" si="4"/>
        <v>3.2600000000000004E-2</v>
      </c>
      <c r="T6" s="7">
        <f>H6*0.0144</f>
        <v>2.0015891752319996</v>
      </c>
      <c r="U6" s="7">
        <f>I6*0.0133</f>
        <v>1.9949500920159999</v>
      </c>
      <c r="V6" s="11">
        <f t="shared" si="5"/>
        <v>-1.0999999999999985E-3</v>
      </c>
      <c r="W6" s="7">
        <v>0</v>
      </c>
      <c r="X6" s="7">
        <f>I6*0.1267</f>
        <v>19.004524560784002</v>
      </c>
      <c r="Y6" s="11">
        <f t="shared" si="6"/>
        <v>0.12670000000000001</v>
      </c>
    </row>
    <row r="7" spans="1:25" x14ac:dyDescent="0.25">
      <c r="A7" s="26" t="s">
        <v>3</v>
      </c>
      <c r="B7" s="2">
        <v>190</v>
      </c>
      <c r="C7" s="2">
        <v>198</v>
      </c>
      <c r="D7" s="18">
        <f t="shared" si="7"/>
        <v>8</v>
      </c>
      <c r="E7" s="4">
        <f>B7*0.5737</f>
        <v>109.003</v>
      </c>
      <c r="F7" s="4">
        <f>C7*0.6263</f>
        <v>124.00739999999999</v>
      </c>
      <c r="G7" s="11">
        <f t="shared" si="0"/>
        <v>5.259999999999998E-2</v>
      </c>
      <c r="H7" s="4">
        <f>E7*0.9725</f>
        <v>106.00541750000001</v>
      </c>
      <c r="I7" s="4">
        <f>F7*0.9839</f>
        <v>122.01088085999999</v>
      </c>
      <c r="J7" s="11">
        <f t="shared" si="1"/>
        <v>1.1399999999999966E-2</v>
      </c>
      <c r="K7" s="7">
        <f>H7*0.5943</f>
        <v>62.99901962025001</v>
      </c>
      <c r="L7" s="7">
        <f>I7*0.4836</f>
        <v>59.004461983895993</v>
      </c>
      <c r="M7" s="11">
        <f t="shared" si="2"/>
        <v>-0.11070000000000008</v>
      </c>
      <c r="N7" s="7">
        <f>H7*0.1698</f>
        <v>17.999719891500003</v>
      </c>
      <c r="O7" s="7">
        <f>I7*0.1475</f>
        <v>17.996604926849997</v>
      </c>
      <c r="P7" s="11">
        <f t="shared" si="3"/>
        <v>-2.2300000000000042E-2</v>
      </c>
      <c r="Q7" s="7">
        <f>H7*0.1132</f>
        <v>11.999813261</v>
      </c>
      <c r="R7" s="7">
        <f>I7*0.2049</f>
        <v>25.000029488213997</v>
      </c>
      <c r="S7" s="11">
        <f t="shared" si="4"/>
        <v>9.1700000000000004E-2</v>
      </c>
      <c r="T7" s="7">
        <f>H7*0.1226</f>
        <v>12.996264185500001</v>
      </c>
      <c r="U7" s="7">
        <f>I7*0.0574</f>
        <v>7.0034245613639996</v>
      </c>
      <c r="V7" s="11">
        <f t="shared" si="5"/>
        <v>-6.5199999999999994E-2</v>
      </c>
      <c r="W7" s="7">
        <v>0</v>
      </c>
      <c r="X7" s="7">
        <f>I7*0.1066</f>
        <v>13.006359899675999</v>
      </c>
      <c r="Y7" s="11">
        <f t="shared" si="6"/>
        <v>0.1066</v>
      </c>
    </row>
    <row r="8" spans="1:25" x14ac:dyDescent="0.25">
      <c r="A8" s="26" t="s">
        <v>2</v>
      </c>
      <c r="B8" s="2">
        <v>178</v>
      </c>
      <c r="C8" s="2">
        <v>179</v>
      </c>
      <c r="D8" s="18">
        <f t="shared" si="7"/>
        <v>1</v>
      </c>
      <c r="E8" s="4">
        <f>B8*0.7247</f>
        <v>128.9966</v>
      </c>
      <c r="F8" s="4">
        <f>C8*0.7095</f>
        <v>127.0005</v>
      </c>
      <c r="G8" s="11">
        <f t="shared" si="0"/>
        <v>-1.5199999999999991E-2</v>
      </c>
      <c r="H8" s="4">
        <f>E8</f>
        <v>128.9966</v>
      </c>
      <c r="I8" s="4">
        <f>F8*0.937</f>
        <v>118.99946850000001</v>
      </c>
      <c r="J8" s="11">
        <f t="shared" si="1"/>
        <v>-6.2999999999999945E-2</v>
      </c>
      <c r="K8" s="7">
        <f>H8*0.5194</f>
        <v>67.000834040000001</v>
      </c>
      <c r="L8" s="7">
        <f>I8*0.5798</f>
        <v>68.995891836300004</v>
      </c>
      <c r="M8" s="11">
        <f t="shared" si="2"/>
        <v>6.0400000000000009E-2</v>
      </c>
      <c r="N8" s="7">
        <f>H8*0.155</f>
        <v>19.994472999999999</v>
      </c>
      <c r="O8" s="7">
        <f>I8*0.1008</f>
        <v>11.995146424800001</v>
      </c>
      <c r="P8" s="11">
        <f t="shared" si="3"/>
        <v>-5.4199999999999998E-2</v>
      </c>
      <c r="Q8" s="7">
        <f>H8*0.0543</f>
        <v>7.00451538</v>
      </c>
      <c r="R8" s="7">
        <f>I8*0.0924</f>
        <v>10.9955508894</v>
      </c>
      <c r="S8" s="11">
        <f t="shared" si="4"/>
        <v>3.8099999999999995E-2</v>
      </c>
      <c r="T8" s="7">
        <f>H8*0.2713</f>
        <v>34.99677758</v>
      </c>
      <c r="U8" s="7">
        <f>I8*0.1429</f>
        <v>17.00502404865</v>
      </c>
      <c r="V8" s="11">
        <f t="shared" si="5"/>
        <v>-0.12839999999999999</v>
      </c>
      <c r="W8" s="7">
        <v>0</v>
      </c>
      <c r="X8" s="7">
        <f>I8*0.084</f>
        <v>9.9959553540000012</v>
      </c>
      <c r="Y8" s="11">
        <f t="shared" si="6"/>
        <v>8.4000000000000005E-2</v>
      </c>
    </row>
    <row r="9" spans="1:25" x14ac:dyDescent="0.25">
      <c r="A9" s="26" t="s">
        <v>4</v>
      </c>
      <c r="B9" s="2">
        <v>426</v>
      </c>
      <c r="C9" s="2">
        <v>388</v>
      </c>
      <c r="D9" s="18">
        <f t="shared" si="7"/>
        <v>-38</v>
      </c>
      <c r="E9" s="4">
        <f>B9*0.6432</f>
        <v>274.00319999999999</v>
      </c>
      <c r="F9" s="4">
        <f>C9*0.6985</f>
        <v>271.01800000000003</v>
      </c>
      <c r="G9" s="11">
        <f t="shared" si="0"/>
        <v>5.5300000000000127E-2</v>
      </c>
      <c r="H9" s="4">
        <f>E9*0.9818</f>
        <v>269.01634175999999</v>
      </c>
      <c r="I9" s="4">
        <f>F9*0.9963</f>
        <v>270.0152334</v>
      </c>
      <c r="J9" s="11">
        <f t="shared" si="1"/>
        <v>1.4499999999999846E-2</v>
      </c>
      <c r="K9" s="7">
        <f>H9*0.5502</f>
        <v>148.012791236352</v>
      </c>
      <c r="L9" s="7">
        <f>I9*0.6</f>
        <v>162.00914004000001</v>
      </c>
      <c r="M9" s="11">
        <f t="shared" si="2"/>
        <v>4.9799999999999955E-2</v>
      </c>
      <c r="N9" s="7">
        <f>H9*0.2045</f>
        <v>55.013841889919995</v>
      </c>
      <c r="O9" s="7">
        <f>I9*0.0222</f>
        <v>5.9943381814799999</v>
      </c>
      <c r="P9" s="11">
        <f t="shared" si="3"/>
        <v>-0.18229999999999999</v>
      </c>
      <c r="Q9" s="7">
        <f>H9*0.2193</f>
        <v>58.995283747967996</v>
      </c>
      <c r="R9" s="7">
        <f>I9*0.1222</f>
        <v>32.995861521480002</v>
      </c>
      <c r="S9" s="11">
        <f t="shared" si="4"/>
        <v>-9.7099999999999992E-2</v>
      </c>
      <c r="T9" s="7">
        <f>H9*0.026</f>
        <v>6.9944248857599991</v>
      </c>
      <c r="U9" s="7">
        <f>I9*0.0074</f>
        <v>1.9981127271600001</v>
      </c>
      <c r="V9" s="11">
        <f t="shared" si="5"/>
        <v>-1.8599999999999998E-2</v>
      </c>
      <c r="W9" s="7">
        <v>0</v>
      </c>
      <c r="X9" s="7">
        <f>I9*0.2481</f>
        <v>66.99077940654</v>
      </c>
      <c r="Y9" s="11">
        <f t="shared" si="6"/>
        <v>0.24809999999999999</v>
      </c>
    </row>
    <row r="10" spans="1:25" x14ac:dyDescent="0.25">
      <c r="A10" s="26" t="s">
        <v>5</v>
      </c>
      <c r="B10" s="2">
        <v>5251</v>
      </c>
      <c r="C10" s="2">
        <v>5309</v>
      </c>
      <c r="D10" s="18">
        <f t="shared" si="7"/>
        <v>58</v>
      </c>
      <c r="E10" s="4">
        <f>B10*0.5159</f>
        <v>2708.9909000000002</v>
      </c>
      <c r="F10" s="4">
        <f>C10*0.5419</f>
        <v>2876.9471000000003</v>
      </c>
      <c r="G10" s="11">
        <f t="shared" si="0"/>
        <v>2.6000000000000023E-2</v>
      </c>
      <c r="H10" s="4">
        <f>E10*0.9841</f>
        <v>2665.9179446900002</v>
      </c>
      <c r="I10" s="4">
        <f>F10*0.9861</f>
        <v>2836.9575353100004</v>
      </c>
      <c r="J10" s="11">
        <f t="shared" si="1"/>
        <v>2.0000000000000018E-3</v>
      </c>
      <c r="K10" s="7">
        <f>H10*0.3496</f>
        <v>932.00491346362412</v>
      </c>
      <c r="L10" s="7">
        <f>I10*0.3743</f>
        <v>1061.8732054665331</v>
      </c>
      <c r="M10" s="11">
        <f t="shared" si="2"/>
        <v>2.47E-2</v>
      </c>
      <c r="N10" s="7">
        <f>H10*0.2296</f>
        <v>612.09476010082403</v>
      </c>
      <c r="O10" s="7">
        <f>I10*0.1237</f>
        <v>350.93164711784704</v>
      </c>
      <c r="P10" s="11">
        <f t="shared" si="3"/>
        <v>-0.10590000000000001</v>
      </c>
      <c r="Q10" s="7">
        <f>H10*0.3035</f>
        <v>809.10609621341507</v>
      </c>
      <c r="R10" s="7">
        <f>I10*0.3197</f>
        <v>906.97532403860703</v>
      </c>
      <c r="S10" s="11">
        <f t="shared" si="4"/>
        <v>1.6199999999999992E-2</v>
      </c>
      <c r="T10" s="7">
        <f>H10*0.1174</f>
        <v>312.97876670660605</v>
      </c>
      <c r="U10" s="7">
        <f>I10*0.0754</f>
        <v>213.90659816237402</v>
      </c>
      <c r="V10" s="11">
        <f t="shared" si="5"/>
        <v>-4.200000000000001E-2</v>
      </c>
      <c r="W10" s="7">
        <v>0</v>
      </c>
      <c r="X10" s="7">
        <f>I10*0.1068</f>
        <v>302.98706477110807</v>
      </c>
      <c r="Y10" s="11">
        <f t="shared" si="6"/>
        <v>0.10680000000000001</v>
      </c>
    </row>
    <row r="11" spans="1:25" x14ac:dyDescent="0.25">
      <c r="A11" s="26" t="s">
        <v>6</v>
      </c>
      <c r="B11" s="2">
        <v>747</v>
      </c>
      <c r="C11" s="2">
        <v>742</v>
      </c>
      <c r="D11" s="18">
        <f t="shared" si="7"/>
        <v>-5</v>
      </c>
      <c r="E11" s="4">
        <f>B11*0.6011</f>
        <v>449.02169999999995</v>
      </c>
      <c r="F11" s="4">
        <f>C11*0.6199</f>
        <v>459.9658</v>
      </c>
      <c r="G11" s="11">
        <f t="shared" si="0"/>
        <v>1.8800000000000039E-2</v>
      </c>
      <c r="H11" s="4">
        <f>E11*0.9866</f>
        <v>443.00480921999997</v>
      </c>
      <c r="I11" s="4">
        <f>F11*0.9935</f>
        <v>456.97602230000001</v>
      </c>
      <c r="J11" s="11">
        <f t="shared" si="1"/>
        <v>6.9000000000000172E-3</v>
      </c>
      <c r="K11" s="7">
        <f>H11*0.2415</f>
        <v>106.98566142662999</v>
      </c>
      <c r="L11" s="7">
        <f>I11*0.1335</f>
        <v>61.006298977050008</v>
      </c>
      <c r="M11" s="11">
        <f t="shared" si="2"/>
        <v>-0.10799999999999998</v>
      </c>
      <c r="N11" s="7">
        <f>H11*0.6524</f>
        <v>289.01633753512795</v>
      </c>
      <c r="O11" s="7">
        <f>I11*0.5295</f>
        <v>241.96880380784998</v>
      </c>
      <c r="P11" s="11">
        <f t="shared" si="3"/>
        <v>-0.1228999999999999</v>
      </c>
      <c r="Q11" s="7">
        <f>H11*0.0858</f>
        <v>38.009812631075995</v>
      </c>
      <c r="R11" s="7">
        <f>I11*0.1882</f>
        <v>86.002887396860004</v>
      </c>
      <c r="S11" s="11">
        <f t="shared" si="4"/>
        <v>0.1024</v>
      </c>
      <c r="T11" s="7">
        <f>H11*0.0203</f>
        <v>8.9929976271659982</v>
      </c>
      <c r="U11" s="7">
        <f>I11*0.0153</f>
        <v>6.9917331411900001</v>
      </c>
      <c r="V11" s="11">
        <f t="shared" si="5"/>
        <v>-4.9999999999999992E-3</v>
      </c>
      <c r="W11" s="7">
        <v>0</v>
      </c>
      <c r="X11" s="7">
        <f>I11*0.1335</f>
        <v>61.006298977050008</v>
      </c>
      <c r="Y11" s="11">
        <f t="shared" si="6"/>
        <v>0.13350000000000001</v>
      </c>
    </row>
    <row r="12" spans="1:25" ht="30" x14ac:dyDescent="0.25">
      <c r="A12" s="28" t="s">
        <v>7</v>
      </c>
      <c r="B12" s="4">
        <v>131</v>
      </c>
      <c r="C12" s="4">
        <v>137</v>
      </c>
      <c r="D12" s="18">
        <f t="shared" si="7"/>
        <v>6</v>
      </c>
      <c r="E12" s="4">
        <f>B12*0.6412</f>
        <v>83.997199999999992</v>
      </c>
      <c r="F12" s="4">
        <f>C12*0.6496</f>
        <v>88.995199999999997</v>
      </c>
      <c r="G12" s="11">
        <f t="shared" si="0"/>
        <v>8.3999999999999631E-3</v>
      </c>
      <c r="H12" s="4">
        <f>E12*0.9643</f>
        <v>80.99849995999999</v>
      </c>
      <c r="I12" s="4">
        <f>F12*0.9775</f>
        <v>86.992807999999997</v>
      </c>
      <c r="J12" s="11">
        <f t="shared" si="1"/>
        <v>1.3200000000000101E-2</v>
      </c>
      <c r="K12" s="8">
        <f>H12*0.4691</f>
        <v>37.996396331235999</v>
      </c>
      <c r="L12" s="7">
        <f>I12*0.4368</f>
        <v>37.998458534400001</v>
      </c>
      <c r="M12" s="11">
        <f t="shared" si="2"/>
        <v>-3.2300000000000051E-2</v>
      </c>
      <c r="N12" s="7">
        <f>H12*0.2222</f>
        <v>17.997866691111998</v>
      </c>
      <c r="O12" s="7">
        <f>I12*0.1264</f>
        <v>10.9958909312</v>
      </c>
      <c r="P12" s="11">
        <f t="shared" si="3"/>
        <v>-9.5799999999999996E-2</v>
      </c>
      <c r="Q12" s="7">
        <f>H12*0.2716</f>
        <v>21.999192589135998</v>
      </c>
      <c r="R12" s="7">
        <f>I12*0.2989</f>
        <v>26.002150311199998</v>
      </c>
      <c r="S12" s="11">
        <f t="shared" si="4"/>
        <v>2.7299999999999991E-2</v>
      </c>
      <c r="T12" s="7">
        <f>H12*0.037</f>
        <v>2.9969444985199996</v>
      </c>
      <c r="U12" s="7">
        <f>I12*0.0345</f>
        <v>3.001251876</v>
      </c>
      <c r="V12" s="11">
        <f t="shared" si="5"/>
        <v>-2.4999999999999953E-3</v>
      </c>
      <c r="W12" s="7">
        <v>0</v>
      </c>
      <c r="X12" s="7">
        <f>I12*0.1034</f>
        <v>8.9950563472000002</v>
      </c>
      <c r="Y12" s="11">
        <f t="shared" si="6"/>
        <v>0.10340000000000001</v>
      </c>
    </row>
    <row r="13" spans="1:25" x14ac:dyDescent="0.25">
      <c r="A13" s="26" t="s">
        <v>8</v>
      </c>
      <c r="B13" s="2">
        <v>124</v>
      </c>
      <c r="C13" s="2">
        <v>112</v>
      </c>
      <c r="D13" s="18">
        <f t="shared" si="7"/>
        <v>-12</v>
      </c>
      <c r="E13" s="4">
        <f>B13*0.5726</f>
        <v>71.002399999999994</v>
      </c>
      <c r="F13" s="4">
        <f>C13*0.5714</f>
        <v>63.9968</v>
      </c>
      <c r="G13" s="11">
        <f t="shared" si="0"/>
        <v>-1.1999999999999789E-3</v>
      </c>
      <c r="H13" s="4">
        <f>E13*0.9859</f>
        <v>70.00126616</v>
      </c>
      <c r="I13" s="4">
        <f>F13</f>
        <v>63.9968</v>
      </c>
      <c r="J13" s="11">
        <f t="shared" si="1"/>
        <v>1.409999999999989E-2</v>
      </c>
      <c r="K13" s="7">
        <f>H13*0.6857</f>
        <v>47.999868205912001</v>
      </c>
      <c r="L13" s="7">
        <f>I13*0.6875</f>
        <v>43.997799999999998</v>
      </c>
      <c r="M13" s="11">
        <f t="shared" si="2"/>
        <v>1.8000000000000238E-3</v>
      </c>
      <c r="N13" s="7">
        <f>H13*0.2571</f>
        <v>17.997325529735999</v>
      </c>
      <c r="O13" s="7">
        <f>I13*0.0469</f>
        <v>3.0014499199999998</v>
      </c>
      <c r="P13" s="11">
        <f t="shared" si="3"/>
        <v>-0.2102</v>
      </c>
      <c r="Q13" s="7">
        <f>H13*0.0429</f>
        <v>3.0030543182640002</v>
      </c>
      <c r="R13" s="7">
        <f>I13*0.0938</f>
        <v>6.0028998399999995</v>
      </c>
      <c r="S13" s="11">
        <f t="shared" si="4"/>
        <v>5.0899999999999994E-2</v>
      </c>
      <c r="T13" s="7">
        <f>H13*0.0143</f>
        <v>1.0010181060880001</v>
      </c>
      <c r="U13" s="7">
        <f>I13*0.0625</f>
        <v>3.9998</v>
      </c>
      <c r="V13" s="11">
        <f t="shared" si="5"/>
        <v>4.82E-2</v>
      </c>
      <c r="W13" s="7">
        <v>0</v>
      </c>
      <c r="X13" s="7">
        <f>I13*0.1094</f>
        <v>7.0012499200000002</v>
      </c>
      <c r="Y13" s="11">
        <f t="shared" si="6"/>
        <v>0.1094</v>
      </c>
    </row>
    <row r="14" spans="1:25" x14ac:dyDescent="0.25">
      <c r="A14" s="26" t="s">
        <v>9</v>
      </c>
      <c r="B14" s="2">
        <v>255</v>
      </c>
      <c r="C14" s="2">
        <v>246</v>
      </c>
      <c r="D14" s="18">
        <f t="shared" si="7"/>
        <v>-9</v>
      </c>
      <c r="E14" s="4">
        <f>B14*0.6863</f>
        <v>175.00650000000002</v>
      </c>
      <c r="F14" s="4">
        <f>C14*0.7317</f>
        <v>179.9982</v>
      </c>
      <c r="G14" s="11">
        <f t="shared" si="0"/>
        <v>4.5399999999999996E-2</v>
      </c>
      <c r="H14" s="4">
        <f>E14*0.9543</f>
        <v>167.00870295000001</v>
      </c>
      <c r="I14" s="4">
        <f>F14</f>
        <v>179.9982</v>
      </c>
      <c r="J14" s="11">
        <f t="shared" si="1"/>
        <v>4.5699999999999963E-2</v>
      </c>
      <c r="K14" s="7">
        <f>H14*0.1437</f>
        <v>23.999150613915003</v>
      </c>
      <c r="L14" s="7">
        <f>I14*0.5056</f>
        <v>91.007089920000013</v>
      </c>
      <c r="M14" s="11">
        <f t="shared" si="2"/>
        <v>0.36190000000000005</v>
      </c>
      <c r="N14" s="7">
        <f>H14*0.1018</f>
        <v>17.001485960310003</v>
      </c>
      <c r="O14" s="7">
        <f>I14*0.1222</f>
        <v>21.99578004</v>
      </c>
      <c r="P14" s="11">
        <f t="shared" si="3"/>
        <v>2.0400000000000001E-2</v>
      </c>
      <c r="Q14" s="7">
        <f>H14*0.7425</f>
        <v>124.00396194037502</v>
      </c>
      <c r="R14" s="7">
        <f>I14*0.2556</f>
        <v>46.007539919999999</v>
      </c>
      <c r="S14" s="11">
        <f t="shared" si="4"/>
        <v>-0.48690000000000005</v>
      </c>
      <c r="T14" s="7">
        <f>H14*0.012</f>
        <v>2.0041044354000004</v>
      </c>
      <c r="U14" s="7">
        <f>I14*0.0167</f>
        <v>3.00596994</v>
      </c>
      <c r="V14" s="11">
        <f t="shared" si="5"/>
        <v>4.6999999999999976E-3</v>
      </c>
      <c r="W14" s="7">
        <v>0</v>
      </c>
      <c r="X14" s="7">
        <f>I14*0.1</f>
        <v>17.99982</v>
      </c>
      <c r="Y14" s="11">
        <f t="shared" si="6"/>
        <v>0.1</v>
      </c>
    </row>
    <row r="15" spans="1:25" x14ac:dyDescent="0.25">
      <c r="A15" s="26" t="s">
        <v>10</v>
      </c>
      <c r="B15" s="2">
        <v>606</v>
      </c>
      <c r="C15" s="2">
        <v>643</v>
      </c>
      <c r="D15" s="18">
        <f t="shared" si="7"/>
        <v>37</v>
      </c>
      <c r="E15" s="4">
        <f>B15*0.6683</f>
        <v>404.9898</v>
      </c>
      <c r="F15" s="4">
        <f>C15*0.6034</f>
        <v>387.98620000000005</v>
      </c>
      <c r="G15" s="11">
        <f t="shared" si="0"/>
        <v>-6.4899999999999958E-2</v>
      </c>
      <c r="H15" s="4">
        <f>E15*0.9951</f>
        <v>403.00534998000001</v>
      </c>
      <c r="I15" s="4">
        <f>F15</f>
        <v>387.98620000000005</v>
      </c>
      <c r="J15" s="11">
        <f t="shared" si="1"/>
        <v>4.9000000000000155E-3</v>
      </c>
      <c r="K15" s="7">
        <f>H15*0.2233</f>
        <v>89.991094650533995</v>
      </c>
      <c r="L15" s="7">
        <f>I15*0.2191</f>
        <v>85.007776420000013</v>
      </c>
      <c r="M15" s="11">
        <f t="shared" si="2"/>
        <v>-4.1999999999999815E-3</v>
      </c>
      <c r="N15" s="7">
        <f>H15*0.6824</f>
        <v>275.010850826352</v>
      </c>
      <c r="O15" s="7">
        <f>I15*0.6469</f>
        <v>250.98827278000005</v>
      </c>
      <c r="P15" s="11">
        <f t="shared" si="3"/>
        <v>-3.5499999999999976E-2</v>
      </c>
      <c r="Q15" s="7">
        <f>H15*0.0496</f>
        <v>19.989065359007999</v>
      </c>
      <c r="R15" s="7">
        <f>I15*0.0541</f>
        <v>20.990053420000002</v>
      </c>
      <c r="S15" s="11">
        <f t="shared" si="4"/>
        <v>4.4999999999999971E-3</v>
      </c>
      <c r="T15" s="7">
        <f>H15*0.0447</f>
        <v>18.014339144106</v>
      </c>
      <c r="U15" s="7">
        <f>I15*0.0258</f>
        <v>10.010043960000001</v>
      </c>
      <c r="V15" s="11">
        <f t="shared" si="5"/>
        <v>-1.8899999999999997E-2</v>
      </c>
      <c r="W15" s="7">
        <v>0</v>
      </c>
      <c r="X15" s="7">
        <f>I15*0.0541</f>
        <v>20.990053420000002</v>
      </c>
      <c r="Y15" s="11">
        <f t="shared" si="6"/>
        <v>5.4099999999999995E-2</v>
      </c>
    </row>
    <row r="16" spans="1:25" x14ac:dyDescent="0.25">
      <c r="A16" s="26" t="s">
        <v>11</v>
      </c>
      <c r="B16" s="2">
        <v>823</v>
      </c>
      <c r="C16" s="2">
        <v>883</v>
      </c>
      <c r="D16" s="18">
        <f t="shared" si="7"/>
        <v>60</v>
      </c>
      <c r="E16" s="4">
        <f>B16*0.5905</f>
        <v>485.98150000000004</v>
      </c>
      <c r="F16" s="4">
        <f>C16*0.6251</f>
        <v>551.9633</v>
      </c>
      <c r="G16" s="11">
        <f t="shared" si="0"/>
        <v>3.4599999999999964E-2</v>
      </c>
      <c r="H16" s="4">
        <f>E16*0.9856</f>
        <v>478.98336640000008</v>
      </c>
      <c r="I16" s="4">
        <f>F16*0.9837</f>
        <v>542.96629820999999</v>
      </c>
      <c r="J16" s="11">
        <f t="shared" si="1"/>
        <v>-1.9000000000000128E-3</v>
      </c>
      <c r="K16" s="7">
        <f>H16*0.5866</f>
        <v>280.97164273024003</v>
      </c>
      <c r="L16" s="7">
        <f>I16*0.6703</f>
        <v>363.95030969016301</v>
      </c>
      <c r="M16" s="11">
        <f t="shared" si="2"/>
        <v>8.3699999999999997E-2</v>
      </c>
      <c r="N16" s="7">
        <f>H16*0.1399</f>
        <v>67.009772959360006</v>
      </c>
      <c r="O16" s="7">
        <f>I16*0.0442</f>
        <v>23.999110380882001</v>
      </c>
      <c r="P16" s="11">
        <f t="shared" si="3"/>
        <v>-9.5699999999999993E-2</v>
      </c>
      <c r="Q16" s="7">
        <f>H16*0.0605</f>
        <v>28.978493667200002</v>
      </c>
      <c r="R16" s="7">
        <f>I16*0.035</f>
        <v>19.003820437350001</v>
      </c>
      <c r="S16" s="11">
        <f t="shared" si="4"/>
        <v>-2.5499999999999988E-2</v>
      </c>
      <c r="T16" s="7">
        <f>H16*0.2129</f>
        <v>101.97555870656002</v>
      </c>
      <c r="U16" s="7">
        <f>I16*0.1455</f>
        <v>79.00159638955499</v>
      </c>
      <c r="V16" s="11">
        <f t="shared" si="5"/>
        <v>-6.7400000000000015E-2</v>
      </c>
      <c r="W16" s="7">
        <v>0</v>
      </c>
      <c r="X16" s="7">
        <f>I16*0.105</f>
        <v>57.011461312049995</v>
      </c>
      <c r="Y16" s="11">
        <f t="shared" si="6"/>
        <v>0.105</v>
      </c>
    </row>
    <row r="17" spans="1:25" x14ac:dyDescent="0.25">
      <c r="A17" s="26" t="s">
        <v>12</v>
      </c>
      <c r="B17" s="2">
        <v>652</v>
      </c>
      <c r="C17" s="2">
        <v>629</v>
      </c>
      <c r="D17" s="18">
        <f t="shared" si="7"/>
        <v>-23</v>
      </c>
      <c r="E17" s="4">
        <f>B17*0.612</f>
        <v>399.024</v>
      </c>
      <c r="F17" s="4">
        <f>C17*0.6518</f>
        <v>409.98220000000003</v>
      </c>
      <c r="G17" s="11">
        <f t="shared" si="0"/>
        <v>3.9800000000000058E-2</v>
      </c>
      <c r="H17" s="4">
        <f>E17*0.9825</f>
        <v>392.04108000000002</v>
      </c>
      <c r="I17" s="4">
        <f>F17*0.9829</f>
        <v>402.97150438000006</v>
      </c>
      <c r="J17" s="11">
        <f>(I17/F17)-(H17/E17)</f>
        <v>4.0000000000006697E-4</v>
      </c>
      <c r="K17" s="7">
        <f>H17*0.3112</f>
        <v>122.003184096</v>
      </c>
      <c r="L17" s="7">
        <f>I17*0.4988</f>
        <v>201.00218638474405</v>
      </c>
      <c r="M17" s="11">
        <f t="shared" si="2"/>
        <v>0.1876000000000001</v>
      </c>
      <c r="N17" s="7">
        <f>H17*0.1301</f>
        <v>51.004544508000002</v>
      </c>
      <c r="O17" s="7">
        <f>I17*0.062</f>
        <v>24.984233271560004</v>
      </c>
      <c r="P17" s="11">
        <f t="shared" si="3"/>
        <v>-6.8099999999999994E-2</v>
      </c>
      <c r="Q17" s="7">
        <f>H17*0.5255</f>
        <v>206.01758753999999</v>
      </c>
      <c r="R17" s="7">
        <f>I17*0.1514</f>
        <v>61.009885763132012</v>
      </c>
      <c r="S17" s="11">
        <f t="shared" si="4"/>
        <v>-0.37409999999999999</v>
      </c>
      <c r="T17" s="7">
        <f>H17*0.0332</f>
        <v>13.015763856000001</v>
      </c>
      <c r="U17" s="7">
        <f>I17*0.0323</f>
        <v>13.015979591474002</v>
      </c>
      <c r="V17" s="11">
        <f t="shared" si="5"/>
        <v>-8.9999999999999802E-4</v>
      </c>
      <c r="W17" s="7">
        <v>0</v>
      </c>
      <c r="X17" s="7">
        <f>I17*0.2556</f>
        <v>102.99951651952802</v>
      </c>
      <c r="Y17" s="11">
        <f t="shared" si="6"/>
        <v>0.25559999999999999</v>
      </c>
    </row>
    <row r="18" spans="1:25" x14ac:dyDescent="0.25">
      <c r="A18" s="26" t="s">
        <v>13</v>
      </c>
      <c r="B18" s="2">
        <v>87</v>
      </c>
      <c r="C18" s="2">
        <v>0</v>
      </c>
      <c r="D18" s="18">
        <f t="shared" si="7"/>
        <v>-87</v>
      </c>
      <c r="E18" s="4">
        <f>B18*0.7931</f>
        <v>68.999700000000004</v>
      </c>
      <c r="F18" s="4">
        <f>C18</f>
        <v>0</v>
      </c>
      <c r="G18" s="11">
        <f>0%-(E18/B18)</f>
        <v>-0.79310000000000003</v>
      </c>
      <c r="H18" s="4">
        <f>E18*0.9565</f>
        <v>65.998213050000004</v>
      </c>
      <c r="I18" s="4">
        <f>F18</f>
        <v>0</v>
      </c>
      <c r="J18" s="11">
        <f>0%-(H18/E18)</f>
        <v>-0.95650000000000002</v>
      </c>
      <c r="K18" s="7">
        <f>H18*0.5909</f>
        <v>38.998344091245002</v>
      </c>
      <c r="L18" s="7">
        <f>I18</f>
        <v>0</v>
      </c>
      <c r="M18" s="11">
        <f>0%-(K18/$H$18)</f>
        <v>-0.59089999999999998</v>
      </c>
      <c r="N18" s="7">
        <f>H18*0.1667</f>
        <v>11.001902115435</v>
      </c>
      <c r="O18" s="7">
        <f t="shared" ref="O18" si="8">I18*0</f>
        <v>0</v>
      </c>
      <c r="P18" s="11">
        <f>0%-(N18/$H$18)</f>
        <v>-0.16669999999999999</v>
      </c>
      <c r="Q18" s="7">
        <f t="shared" ref="Q18" si="9">H18*0</f>
        <v>0</v>
      </c>
      <c r="R18" s="7">
        <f t="shared" ref="R18" si="10">I18*0</f>
        <v>0</v>
      </c>
      <c r="S18" s="11">
        <f>0%-(Q18/$H$18)</f>
        <v>0</v>
      </c>
      <c r="T18" s="7">
        <f>H18*0.2424</f>
        <v>15.99796684332</v>
      </c>
      <c r="U18" s="7">
        <f>I18</f>
        <v>0</v>
      </c>
      <c r="V18" s="11">
        <f>0%-(T18/$H$18)</f>
        <v>-0.2424</v>
      </c>
      <c r="W18" s="7">
        <v>0</v>
      </c>
      <c r="X18" s="7">
        <f>I18*0.1169</f>
        <v>0</v>
      </c>
      <c r="Y18" s="11">
        <f>0%-(W18/$H$18)</f>
        <v>0</v>
      </c>
    </row>
    <row r="19" spans="1:25" x14ac:dyDescent="0.25">
      <c r="A19" s="26" t="s">
        <v>14</v>
      </c>
      <c r="B19" s="2">
        <f>SUM(B5:B18)</f>
        <v>13266</v>
      </c>
      <c r="C19" s="3">
        <f>SUM(C5:C18)</f>
        <v>13429</v>
      </c>
      <c r="D19" s="18">
        <f t="shared" si="7"/>
        <v>163</v>
      </c>
      <c r="E19" s="4">
        <f>SUM(E5:E18)</f>
        <v>7427.1827000000021</v>
      </c>
      <c r="F19" s="4">
        <f>SUM(F5:F18)</f>
        <v>7866.8126000000011</v>
      </c>
      <c r="G19" s="11">
        <f>(F19/C19)-(E19/B19)</f>
        <v>2.5941748289020294E-2</v>
      </c>
      <c r="H19" s="4">
        <f>SUM(H5:H18)</f>
        <v>7320.2178310500003</v>
      </c>
      <c r="I19" s="4">
        <f>SUM(I5:I18)</f>
        <v>7765.7822260900002</v>
      </c>
      <c r="J19" s="11">
        <f>(I19/F19)-(H19/E19)</f>
        <v>1.5592034093228069E-3</v>
      </c>
      <c r="K19" s="7">
        <f>SUM(K5:K18)</f>
        <v>2744.1374200336027</v>
      </c>
      <c r="L19" s="7">
        <f>SUM(L5:L18)</f>
        <v>3205.7173752110834</v>
      </c>
      <c r="M19" s="11">
        <f>(L19/I19)-(K19/H19)</f>
        <v>3.7929312687840111E-2</v>
      </c>
      <c r="N19" s="7">
        <f>SUM(N5:N18)</f>
        <v>2473.2282781358549</v>
      </c>
      <c r="O19" s="7">
        <f>SUM(O5:O18)</f>
        <v>1641.73650405783</v>
      </c>
      <c r="P19" s="11">
        <f>(O19/I19)-(N19/H19)</f>
        <v>-0.12645620464277249</v>
      </c>
      <c r="Q19" s="7">
        <f>SUM(Q5:Q18)</f>
        <v>1468.0338617671785</v>
      </c>
      <c r="R19" s="7">
        <f>SUM(R5:R18)</f>
        <v>1559.0481001556882</v>
      </c>
      <c r="S19" s="11">
        <f>(R19/I19)-(Q19/H19)</f>
        <v>2.1356245289338993E-4</v>
      </c>
      <c r="T19" s="7">
        <f>SUM(T5:T18)</f>
        <v>635.01826417944812</v>
      </c>
      <c r="U19" s="7">
        <f>SUM(U5:U18)</f>
        <v>450.84832414664208</v>
      </c>
      <c r="V19" s="11">
        <f>(U19/I19)-(T19/H19)</f>
        <v>-2.8692795861406127E-2</v>
      </c>
      <c r="W19" s="7">
        <v>0</v>
      </c>
      <c r="X19" s="6">
        <f>SUM(X5:X18)</f>
        <v>907.94443081796112</v>
      </c>
      <c r="Y19" s="11">
        <f>X19/I19</f>
        <v>0.11691603039905264</v>
      </c>
    </row>
    <row r="22" spans="1:25" x14ac:dyDescent="0.25">
      <c r="H22" s="10"/>
    </row>
  </sheetData>
  <mergeCells count="9">
    <mergeCell ref="B3:C3"/>
    <mergeCell ref="E3:F3"/>
    <mergeCell ref="H3:I3"/>
    <mergeCell ref="A1:Y1"/>
    <mergeCell ref="T3:U3"/>
    <mergeCell ref="W3:X3"/>
    <mergeCell ref="K3:L3"/>
    <mergeCell ref="N3:O3"/>
    <mergeCell ref="Q3:R3"/>
  </mergeCells>
  <conditionalFormatting sqref="D5:D19 G5:G19 J5:J19 M5:M19 P5:P19 S5:S19 V5:V19 Y5:Y19">
    <cfRule type="cellIs" dxfId="11" priority="1" operator="lessThan">
      <formula>0</formula>
    </cfRule>
    <cfRule type="cellIs" dxfId="10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B19:C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G14" sqref="G14"/>
    </sheetView>
  </sheetViews>
  <sheetFormatPr baseColWidth="10" defaultRowHeight="15" x14ac:dyDescent="0.25"/>
  <cols>
    <col min="1" max="1" width="19.5703125" customWidth="1"/>
    <col min="4" max="4" width="12.42578125" customWidth="1"/>
    <col min="6" max="6" width="13.140625" bestFit="1" customWidth="1"/>
    <col min="7" max="7" width="12.5703125" customWidth="1"/>
    <col min="8" max="8" width="14.5703125" bestFit="1" customWidth="1"/>
    <col min="9" max="9" width="13.5703125" bestFit="1" customWidth="1"/>
    <col min="10" max="10" width="12.42578125" customWidth="1"/>
  </cols>
  <sheetData>
    <row r="1" spans="1:12" ht="28.5" x14ac:dyDescent="0.2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27"/>
    </row>
    <row r="2" spans="1:12" x14ac:dyDescent="0.25">
      <c r="A2" s="1"/>
      <c r="B2" s="1"/>
      <c r="C2" s="1"/>
      <c r="D2" s="5"/>
      <c r="E2" s="1"/>
      <c r="F2" s="1"/>
      <c r="G2" s="5"/>
    </row>
    <row r="3" spans="1:12" ht="30" x14ac:dyDescent="0.25">
      <c r="A3" s="19"/>
      <c r="B3" s="29" t="s">
        <v>16</v>
      </c>
      <c r="C3" s="29"/>
      <c r="D3" s="12" t="s">
        <v>25</v>
      </c>
      <c r="E3" s="29" t="s">
        <v>17</v>
      </c>
      <c r="F3" s="29"/>
      <c r="G3" s="12" t="s">
        <v>24</v>
      </c>
      <c r="H3" s="29" t="s">
        <v>18</v>
      </c>
      <c r="I3" s="29"/>
      <c r="J3" s="12" t="s">
        <v>24</v>
      </c>
      <c r="K3" s="24"/>
      <c r="L3" s="25"/>
    </row>
    <row r="4" spans="1:12" x14ac:dyDescent="0.25">
      <c r="A4" s="20"/>
      <c r="B4" s="13">
        <v>2014</v>
      </c>
      <c r="C4" s="13">
        <v>2020</v>
      </c>
      <c r="D4" s="17"/>
      <c r="E4" s="13">
        <v>2014</v>
      </c>
      <c r="F4" s="13">
        <v>2020</v>
      </c>
      <c r="G4" s="21"/>
      <c r="H4" s="13">
        <v>2014</v>
      </c>
      <c r="I4" s="13">
        <v>2020</v>
      </c>
      <c r="J4" s="21"/>
    </row>
    <row r="5" spans="1:12" x14ac:dyDescent="0.25">
      <c r="A5" s="26" t="s">
        <v>0</v>
      </c>
      <c r="B5" s="4">
        <v>3574</v>
      </c>
      <c r="C5" s="4">
        <v>3727</v>
      </c>
      <c r="D5" s="18">
        <f>C5-B5</f>
        <v>153</v>
      </c>
      <c r="E5" s="4">
        <f>B5*0.5364</f>
        <v>1917.0935999999999</v>
      </c>
      <c r="F5" s="4">
        <f>C5*0.583</f>
        <v>2172.8409999999999</v>
      </c>
      <c r="G5" s="21">
        <f t="shared" ref="G5:G17" si="0">(F5/C5)-(E5/B5)</f>
        <v>4.6599999999999975E-2</v>
      </c>
      <c r="H5" s="4">
        <f>E5*0.9786</f>
        <v>1876.0677969599999</v>
      </c>
      <c r="I5" s="4">
        <f>F5*0.9839</f>
        <v>2137.8582598999997</v>
      </c>
      <c r="J5" s="11">
        <f t="shared" ref="J5:J17" si="1">(I5/F5)-(H5/E5)</f>
        <v>5.2999999999998604E-3</v>
      </c>
    </row>
    <row r="6" spans="1:12" x14ac:dyDescent="0.25">
      <c r="A6" s="26" t="s">
        <v>1</v>
      </c>
      <c r="B6" s="4">
        <v>222</v>
      </c>
      <c r="C6" s="4">
        <v>236</v>
      </c>
      <c r="D6" s="18">
        <f t="shared" ref="D6:D19" si="2">C6-B6</f>
        <v>14</v>
      </c>
      <c r="E6" s="4">
        <f>B6*0.6306</f>
        <v>139.9932</v>
      </c>
      <c r="F6" s="4">
        <f>C6*0.6398</f>
        <v>150.99280000000002</v>
      </c>
      <c r="G6" s="21">
        <f t="shared" si="0"/>
        <v>9.199999999999986E-3</v>
      </c>
      <c r="H6" s="4">
        <f>E6</f>
        <v>139.9932</v>
      </c>
      <c r="I6" s="4">
        <f>F6*0.9669</f>
        <v>145.99493832000002</v>
      </c>
      <c r="J6" s="11">
        <f t="shared" si="1"/>
        <v>-3.3100000000000018E-2</v>
      </c>
    </row>
    <row r="7" spans="1:12" x14ac:dyDescent="0.25">
      <c r="A7" s="26" t="s">
        <v>3</v>
      </c>
      <c r="B7" s="4">
        <v>190</v>
      </c>
      <c r="C7" s="4">
        <v>198</v>
      </c>
      <c r="D7" s="18">
        <f t="shared" si="2"/>
        <v>8</v>
      </c>
      <c r="E7" s="4">
        <f>B7*0.5737</f>
        <v>109.003</v>
      </c>
      <c r="F7" s="4">
        <f>C7*0.6313</f>
        <v>124.9974</v>
      </c>
      <c r="G7" s="21">
        <f t="shared" si="0"/>
        <v>5.7599999999999985E-2</v>
      </c>
      <c r="H7" s="4">
        <f>E7*0.9725</f>
        <v>106.00541750000001</v>
      </c>
      <c r="I7" s="4">
        <f>F7*0.944</f>
        <v>117.9975456</v>
      </c>
      <c r="J7" s="11">
        <f t="shared" si="1"/>
        <v>-2.8500000000000081E-2</v>
      </c>
    </row>
    <row r="8" spans="1:12" x14ac:dyDescent="0.25">
      <c r="A8" s="26" t="s">
        <v>2</v>
      </c>
      <c r="B8" s="4">
        <v>178</v>
      </c>
      <c r="C8" s="4">
        <v>179</v>
      </c>
      <c r="D8" s="18">
        <f t="shared" si="2"/>
        <v>1</v>
      </c>
      <c r="E8" s="4">
        <f>B8*0.7303</f>
        <v>129.99339999999998</v>
      </c>
      <c r="F8" s="4">
        <f>C8*0.7095</f>
        <v>127.0005</v>
      </c>
      <c r="G8" s="21">
        <f t="shared" si="0"/>
        <v>-2.0799999999999819E-2</v>
      </c>
      <c r="H8" s="4">
        <f>E8*0.9846</f>
        <v>127.99150163999998</v>
      </c>
      <c r="I8" s="4">
        <f>F8*0.9213</f>
        <v>117.00556065000001</v>
      </c>
      <c r="J8" s="11">
        <f t="shared" si="1"/>
        <v>-6.3300000000000023E-2</v>
      </c>
    </row>
    <row r="9" spans="1:12" x14ac:dyDescent="0.25">
      <c r="A9" s="26" t="s">
        <v>4</v>
      </c>
      <c r="B9" s="4">
        <v>426</v>
      </c>
      <c r="C9" s="4">
        <v>388</v>
      </c>
      <c r="D9" s="18">
        <f t="shared" si="2"/>
        <v>-38</v>
      </c>
      <c r="E9" s="4">
        <f>B9*0.6408</f>
        <v>272.98079999999999</v>
      </c>
      <c r="F9" s="4">
        <f>C9*0.6985</f>
        <v>271.01800000000003</v>
      </c>
      <c r="G9" s="21">
        <f t="shared" si="0"/>
        <v>5.7700000000000196E-2</v>
      </c>
      <c r="H9" s="4">
        <f>E9*0.9817</f>
        <v>267.98525136000001</v>
      </c>
      <c r="I9" s="4">
        <f>F9*0.9705</f>
        <v>263.02296900000005</v>
      </c>
      <c r="J9" s="11">
        <f t="shared" si="1"/>
        <v>-1.1199999999999988E-2</v>
      </c>
    </row>
    <row r="10" spans="1:12" x14ac:dyDescent="0.25">
      <c r="A10" s="26" t="s">
        <v>5</v>
      </c>
      <c r="B10" s="4">
        <v>5251</v>
      </c>
      <c r="C10" s="4">
        <v>5309</v>
      </c>
      <c r="D10" s="18">
        <f t="shared" si="2"/>
        <v>58</v>
      </c>
      <c r="E10" s="4">
        <f>B10*0.5159</f>
        <v>2708.9909000000002</v>
      </c>
      <c r="F10" s="4">
        <f>C10*0.5417</f>
        <v>2875.8852999999999</v>
      </c>
      <c r="G10" s="21">
        <f t="shared" si="0"/>
        <v>2.5799999999999934E-2</v>
      </c>
      <c r="H10" s="4">
        <f>E10*0.9874</f>
        <v>2674.8576146600003</v>
      </c>
      <c r="I10" s="4">
        <f>F10*0.9812</f>
        <v>2821.8186563599997</v>
      </c>
      <c r="J10" s="11">
        <f t="shared" si="1"/>
        <v>-6.2000000000000943E-3</v>
      </c>
    </row>
    <row r="11" spans="1:12" x14ac:dyDescent="0.25">
      <c r="A11" s="26" t="s">
        <v>6</v>
      </c>
      <c r="B11" s="4">
        <v>747</v>
      </c>
      <c r="C11" s="4">
        <v>742</v>
      </c>
      <c r="D11" s="18">
        <f t="shared" si="2"/>
        <v>-5</v>
      </c>
      <c r="E11" s="4">
        <f>B11*0.5364</f>
        <v>400.69079999999997</v>
      </c>
      <c r="F11" s="4">
        <f>C11*0.6173</f>
        <v>458.03659999999996</v>
      </c>
      <c r="G11" s="21">
        <f t="shared" si="0"/>
        <v>8.0899999999999972E-2</v>
      </c>
      <c r="H11" s="4">
        <f>E11*0.9755</f>
        <v>390.87387539999997</v>
      </c>
      <c r="I11" s="4">
        <f>F11*0.9716</f>
        <v>445.02836055999995</v>
      </c>
      <c r="J11" s="11">
        <f t="shared" si="1"/>
        <v>-3.9000000000000146E-3</v>
      </c>
    </row>
    <row r="12" spans="1:12" ht="30" x14ac:dyDescent="0.25">
      <c r="A12" s="28" t="s">
        <v>7</v>
      </c>
      <c r="B12" s="4">
        <v>131</v>
      </c>
      <c r="C12" s="4">
        <v>137</v>
      </c>
      <c r="D12" s="18">
        <f t="shared" si="2"/>
        <v>6</v>
      </c>
      <c r="E12" s="4">
        <f>B12*0.6412</f>
        <v>83.997199999999992</v>
      </c>
      <c r="F12" s="4">
        <f>C12*0.6496</f>
        <v>88.995199999999997</v>
      </c>
      <c r="G12" s="21">
        <f>(F12/C12)-(E12/B12)</f>
        <v>8.3999999999999631E-3</v>
      </c>
      <c r="H12" s="4">
        <f>E12</f>
        <v>83.997199999999992</v>
      </c>
      <c r="I12" s="4">
        <f>F12</f>
        <v>88.995199999999997</v>
      </c>
      <c r="J12" s="11">
        <f>(I12/F12)-(H12/E12)</f>
        <v>0</v>
      </c>
    </row>
    <row r="13" spans="1:12" x14ac:dyDescent="0.25">
      <c r="A13" s="26" t="s">
        <v>8</v>
      </c>
      <c r="B13" s="4">
        <v>124</v>
      </c>
      <c r="C13" s="4">
        <v>112</v>
      </c>
      <c r="D13" s="18">
        <f t="shared" si="2"/>
        <v>-12</v>
      </c>
      <c r="E13" s="4">
        <f>B13*0.5645</f>
        <v>69.998000000000005</v>
      </c>
      <c r="F13" s="4">
        <f>C13*0.5714</f>
        <v>63.9968</v>
      </c>
      <c r="G13" s="21">
        <f t="shared" si="0"/>
        <v>6.9000000000000172E-3</v>
      </c>
      <c r="H13" s="4">
        <f>E13*0.9857</f>
        <v>68.997028600000007</v>
      </c>
      <c r="I13" s="4">
        <f>F13*0.9688</f>
        <v>62.000099839999997</v>
      </c>
      <c r="J13" s="11">
        <f t="shared" si="1"/>
        <v>-1.6900000000000026E-2</v>
      </c>
    </row>
    <row r="14" spans="1:12" x14ac:dyDescent="0.25">
      <c r="A14" s="26" t="s">
        <v>9</v>
      </c>
      <c r="B14" s="4">
        <v>255</v>
      </c>
      <c r="C14" s="4">
        <v>246</v>
      </c>
      <c r="D14" s="18">
        <f t="shared" si="2"/>
        <v>-9</v>
      </c>
      <c r="E14" s="4">
        <f>B14*0.6863</f>
        <v>175.00650000000002</v>
      </c>
      <c r="F14" s="4">
        <f>C14*0.7317</f>
        <v>179.9982</v>
      </c>
      <c r="G14" s="21">
        <f t="shared" si="0"/>
        <v>4.5399999999999996E-2</v>
      </c>
      <c r="H14" s="4">
        <f>E14*0.9771</f>
        <v>170.99885115000001</v>
      </c>
      <c r="I14" s="4">
        <f>F14*0.9722</f>
        <v>174.99425004</v>
      </c>
      <c r="J14" s="11">
        <f t="shared" si="1"/>
        <v>-4.9000000000000155E-3</v>
      </c>
    </row>
    <row r="15" spans="1:12" x14ac:dyDescent="0.25">
      <c r="A15" s="26" t="s">
        <v>10</v>
      </c>
      <c r="B15" s="4">
        <v>606</v>
      </c>
      <c r="C15" s="4">
        <v>643</v>
      </c>
      <c r="D15" s="18">
        <f t="shared" si="2"/>
        <v>37</v>
      </c>
      <c r="E15" s="4">
        <f>B15*0.6683</f>
        <v>404.9898</v>
      </c>
      <c r="F15" s="4">
        <f>C15*0.6034</f>
        <v>387.98620000000005</v>
      </c>
      <c r="G15" s="21">
        <f t="shared" si="0"/>
        <v>-6.4899999999999958E-2</v>
      </c>
      <c r="H15" s="4">
        <f>E15*0.9852</f>
        <v>398.99595096000002</v>
      </c>
      <c r="I15" s="4">
        <f>F15*0.982</f>
        <v>381.00244840000005</v>
      </c>
      <c r="J15" s="11">
        <f t="shared" si="1"/>
        <v>-3.2000000000000917E-3</v>
      </c>
    </row>
    <row r="16" spans="1:12" x14ac:dyDescent="0.25">
      <c r="A16" s="26" t="s">
        <v>11</v>
      </c>
      <c r="B16" s="4">
        <v>823</v>
      </c>
      <c r="C16" s="4">
        <v>883</v>
      </c>
      <c r="D16" s="18">
        <f t="shared" si="2"/>
        <v>60</v>
      </c>
      <c r="E16" s="4">
        <f>B16*0.5905</f>
        <v>485.98150000000004</v>
      </c>
      <c r="F16" s="4">
        <f>C16*0.6251</f>
        <v>551.9633</v>
      </c>
      <c r="G16" s="21">
        <f>(F16/C16)-(E16/B16)</f>
        <v>3.4599999999999964E-2</v>
      </c>
      <c r="H16" s="4">
        <f>E16*0.9733</f>
        <v>473.00579395000005</v>
      </c>
      <c r="I16" s="4">
        <f>F16*0.971</f>
        <v>535.95636430000002</v>
      </c>
      <c r="J16" s="11">
        <f t="shared" si="1"/>
        <v>-2.3000000000000798E-3</v>
      </c>
    </row>
    <row r="17" spans="1:11" x14ac:dyDescent="0.25">
      <c r="A17" s="26" t="s">
        <v>12</v>
      </c>
      <c r="B17" s="4">
        <v>652</v>
      </c>
      <c r="C17" s="4">
        <v>629</v>
      </c>
      <c r="D17" s="18">
        <f t="shared" si="2"/>
        <v>-23</v>
      </c>
      <c r="E17" s="4">
        <f>B17*0.612</f>
        <v>399.024</v>
      </c>
      <c r="F17" s="4">
        <f>C17*0.6518</f>
        <v>409.98220000000003</v>
      </c>
      <c r="G17" s="21">
        <f t="shared" si="0"/>
        <v>3.9800000000000058E-2</v>
      </c>
      <c r="H17" s="4">
        <f>E17*0.99</f>
        <v>395.03375999999997</v>
      </c>
      <c r="I17" s="4">
        <f>F17*0.9878</f>
        <v>404.98041716000006</v>
      </c>
      <c r="J17" s="11">
        <f t="shared" si="1"/>
        <v>-2.1999999999998687E-3</v>
      </c>
    </row>
    <row r="18" spans="1:11" x14ac:dyDescent="0.25">
      <c r="A18" s="26" t="s">
        <v>13</v>
      </c>
      <c r="B18" s="4">
        <v>87</v>
      </c>
      <c r="C18" s="4">
        <v>0</v>
      </c>
      <c r="D18" s="18">
        <f>C18-B18</f>
        <v>-87</v>
      </c>
      <c r="E18" s="4">
        <f>B18*0.5589</f>
        <v>48.624299999999998</v>
      </c>
      <c r="F18" s="4">
        <f>C18</f>
        <v>0</v>
      </c>
      <c r="G18" s="11">
        <f>0%-(E18/B18)</f>
        <v>-0.55889999999999995</v>
      </c>
      <c r="H18" s="4">
        <f>E18*0.9855</f>
        <v>47.919247650000003</v>
      </c>
      <c r="I18" s="4">
        <f>F18*0</f>
        <v>0</v>
      </c>
      <c r="J18" s="11">
        <f>0%-(H18/E18)</f>
        <v>-0.98550000000000004</v>
      </c>
    </row>
    <row r="19" spans="1:11" x14ac:dyDescent="0.25">
      <c r="A19" s="26" t="s">
        <v>14</v>
      </c>
      <c r="B19" s="4">
        <f>SUM(B5:B18)</f>
        <v>13266</v>
      </c>
      <c r="C19" s="4">
        <f>SUM(C5:C18)</f>
        <v>13429</v>
      </c>
      <c r="D19" s="18">
        <f t="shared" si="2"/>
        <v>163</v>
      </c>
      <c r="E19" s="4">
        <f>SUM(E5:E18)</f>
        <v>7346.3670000000011</v>
      </c>
      <c r="F19" s="4">
        <f>SUM(F5:F18)</f>
        <v>7863.6935000000021</v>
      </c>
      <c r="G19" s="11">
        <f>(F19/C19)-(E19/B19)</f>
        <v>3.1801424103630516E-2</v>
      </c>
      <c r="H19" s="4">
        <f>SUM(H5:H18)</f>
        <v>7222.7224898300001</v>
      </c>
      <c r="I19" s="4">
        <f>SUM(I5:I18)</f>
        <v>7696.6550701299993</v>
      </c>
      <c r="J19" s="11">
        <f>(I19/F19)-(H19/E19)</f>
        <v>-4.4110254035941709E-3</v>
      </c>
      <c r="K19" s="23"/>
    </row>
    <row r="21" spans="1:11" x14ac:dyDescent="0.25">
      <c r="H21" s="10"/>
    </row>
    <row r="24" spans="1:11" x14ac:dyDescent="0.25">
      <c r="J24" s="22"/>
    </row>
    <row r="27" spans="1:11" x14ac:dyDescent="0.25">
      <c r="I27" s="9"/>
    </row>
  </sheetData>
  <mergeCells count="4">
    <mergeCell ref="A1:I1"/>
    <mergeCell ref="B3:C3"/>
    <mergeCell ref="E3:F3"/>
    <mergeCell ref="H3:I3"/>
  </mergeCells>
  <conditionalFormatting sqref="D5:D19 G4:G17">
    <cfRule type="cellIs" dxfId="9" priority="21" operator="lessThan">
      <formula>0</formula>
    </cfRule>
    <cfRule type="cellIs" dxfId="8" priority="22" operator="greaterThan">
      <formula>0</formula>
    </cfRule>
  </conditionalFormatting>
  <conditionalFormatting sqref="J4">
    <cfRule type="cellIs" dxfId="7" priority="17" operator="lessThan">
      <formula>0</formula>
    </cfRule>
    <cfRule type="cellIs" dxfId="6" priority="18" operator="greaterThan">
      <formula>0</formula>
    </cfRule>
  </conditionalFormatting>
  <conditionalFormatting sqref="K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J5:J1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18:G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Vergleich Rats-Wahl</vt:lpstr>
      <vt:lpstr>Vergleich BM-Wahl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g2frank</dc:creator>
  <cp:lastModifiedBy>g2schme</cp:lastModifiedBy>
  <dcterms:created xsi:type="dcterms:W3CDTF">2020-09-16T08:21:29Z</dcterms:created>
  <dcterms:modified xsi:type="dcterms:W3CDTF">2020-09-22T07:05:43Z</dcterms:modified>
</cp:coreProperties>
</file>